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Hovedark" sheetId="1" r:id="rId1"/>
    <sheet name="PDC" sheetId="2" r:id="rId2"/>
  </sheets>
  <definedNames>
    <definedName name="AntalLag">'Hovedark'!$D$22</definedName>
    <definedName name="_xlnm.Print_Area" localSheetId="0">'Hovedark'!$A$1:$J$33</definedName>
    <definedName name="VerNr">'PDC'!$B$3</definedName>
  </definedNames>
  <calcPr fullCalcOnLoad="1"/>
</workbook>
</file>

<file path=xl/sharedStrings.xml><?xml version="1.0" encoding="utf-8"?>
<sst xmlns="http://schemas.openxmlformats.org/spreadsheetml/2006/main" count="112" uniqueCount="83">
  <si>
    <t>Input</t>
  </si>
  <si>
    <t>Betondæk</t>
  </si>
  <si>
    <t>Tykkelse</t>
  </si>
  <si>
    <t>Trykstyrke</t>
  </si>
  <si>
    <t>mm</t>
  </si>
  <si>
    <t>MPa</t>
  </si>
  <si>
    <t>Armering</t>
  </si>
  <si>
    <t>Diameter</t>
  </si>
  <si>
    <t>t</t>
  </si>
  <si>
    <r>
      <rPr>
        <i/>
        <sz val="11"/>
        <color indexed="8"/>
        <rFont val="Calibri"/>
        <family val="2"/>
      </rPr>
      <t>f</t>
    </r>
    <r>
      <rPr>
        <vertAlign val="subscript"/>
        <sz val="11"/>
        <color indexed="8"/>
        <rFont val="Calibri"/>
        <family val="2"/>
      </rPr>
      <t>ck</t>
    </r>
  </si>
  <si>
    <t>c</t>
  </si>
  <si>
    <t>Trækstyrke</t>
  </si>
  <si>
    <r>
      <rPr>
        <i/>
        <sz val="11"/>
        <color indexed="8"/>
        <rFont val="Calibri"/>
        <family val="2"/>
      </rPr>
      <t>f</t>
    </r>
    <r>
      <rPr>
        <vertAlign val="subscript"/>
        <sz val="11"/>
        <color indexed="8"/>
        <rFont val="Calibri"/>
        <family val="2"/>
      </rPr>
      <t>yk</t>
    </r>
  </si>
  <si>
    <t>a</t>
  </si>
  <si>
    <t>EPS</t>
  </si>
  <si>
    <t>E-modul</t>
  </si>
  <si>
    <r>
      <t>t</t>
    </r>
    <r>
      <rPr>
        <vertAlign val="subscript"/>
        <sz val="11"/>
        <color indexed="8"/>
        <rFont val="Calibri"/>
        <family val="2"/>
      </rPr>
      <t>b</t>
    </r>
  </si>
  <si>
    <t>E</t>
  </si>
  <si>
    <t>Væg</t>
  </si>
  <si>
    <t>Last</t>
  </si>
  <si>
    <r>
      <t>P</t>
    </r>
    <r>
      <rPr>
        <vertAlign val="subscript"/>
        <sz val="11"/>
        <color indexed="8"/>
        <rFont val="Calibri"/>
        <family val="2"/>
      </rPr>
      <t>d</t>
    </r>
  </si>
  <si>
    <t>kN/m</t>
  </si>
  <si>
    <t>n</t>
  </si>
  <si>
    <t>Antal lag</t>
  </si>
  <si>
    <t>Output</t>
  </si>
  <si>
    <t>Bæreevne</t>
  </si>
  <si>
    <t>ID</t>
  </si>
  <si>
    <t>Firmanavn</t>
  </si>
  <si>
    <t>Delresultater</t>
  </si>
  <si>
    <t>Betondæk. M. kapacitet</t>
  </si>
  <si>
    <t>M+</t>
  </si>
  <si>
    <t>M-</t>
  </si>
  <si>
    <t>Areal</t>
  </si>
  <si>
    <r>
      <t>mm</t>
    </r>
    <r>
      <rPr>
        <vertAlign val="superscript"/>
        <sz val="11"/>
        <color indexed="8"/>
        <rFont val="Calibri"/>
        <family val="2"/>
      </rPr>
      <t>2</t>
    </r>
    <r>
      <rPr>
        <sz val="11"/>
        <color indexed="8"/>
        <rFont val="Calibri"/>
        <family val="2"/>
      </rPr>
      <t>/m</t>
    </r>
  </si>
  <si>
    <t>Partialkoefficienter</t>
  </si>
  <si>
    <r>
      <t>T</t>
    </r>
    <r>
      <rPr>
        <vertAlign val="subscript"/>
        <sz val="11"/>
        <color indexed="8"/>
        <rFont val="Calibri"/>
        <family val="2"/>
      </rPr>
      <t>d</t>
    </r>
  </si>
  <si>
    <t>N/m</t>
  </si>
  <si>
    <r>
      <t>h</t>
    </r>
    <r>
      <rPr>
        <vertAlign val="subscript"/>
        <sz val="11"/>
        <color indexed="8"/>
        <rFont val="Calibri"/>
        <family val="2"/>
      </rPr>
      <t>i+</t>
    </r>
  </si>
  <si>
    <r>
      <t>h</t>
    </r>
    <r>
      <rPr>
        <vertAlign val="subscript"/>
        <sz val="11"/>
        <color indexed="8"/>
        <rFont val="Calibri"/>
        <family val="2"/>
      </rPr>
      <t>i-</t>
    </r>
  </si>
  <si>
    <t>Vandret afstand</t>
  </si>
  <si>
    <t>Lodr. afst. fra bund</t>
  </si>
  <si>
    <r>
      <t>h</t>
    </r>
    <r>
      <rPr>
        <vertAlign val="subscript"/>
        <sz val="11"/>
        <color indexed="8"/>
        <rFont val="Calibri"/>
        <family val="2"/>
      </rPr>
      <t>c</t>
    </r>
  </si>
  <si>
    <t>Teknologisk institut</t>
  </si>
  <si>
    <t>Fri/bunden</t>
  </si>
  <si>
    <t>b</t>
  </si>
  <si>
    <t>fri</t>
  </si>
  <si>
    <t>bunden</t>
  </si>
  <si>
    <r>
      <t>L</t>
    </r>
    <r>
      <rPr>
        <vertAlign val="subscript"/>
        <sz val="11"/>
        <color indexed="8"/>
        <rFont val="Calibri"/>
        <family val="2"/>
      </rPr>
      <t>p</t>
    </r>
  </si>
  <si>
    <t>Udstrækn. af lodr. last</t>
  </si>
  <si>
    <t>Væg tæt på dækkant</t>
  </si>
  <si>
    <t>(ja/nej)</t>
  </si>
  <si>
    <t>Ja</t>
  </si>
  <si>
    <t>Nej</t>
  </si>
  <si>
    <t>Nmm/mm</t>
  </si>
  <si>
    <t>Randeffekt</t>
  </si>
  <si>
    <r>
      <t>P</t>
    </r>
    <r>
      <rPr>
        <vertAlign val="subscript"/>
        <sz val="11"/>
        <color indexed="8"/>
        <rFont val="Calibri"/>
        <family val="2"/>
      </rPr>
      <t>cap</t>
    </r>
  </si>
  <si>
    <r>
      <t>P</t>
    </r>
    <r>
      <rPr>
        <b/>
        <vertAlign val="subscript"/>
        <sz val="11"/>
        <color indexed="8"/>
        <rFont val="Calibri"/>
        <family val="2"/>
      </rPr>
      <t>cap</t>
    </r>
    <r>
      <rPr>
        <b/>
        <sz val="11"/>
        <color indexed="8"/>
        <rFont val="Calibri"/>
        <family val="2"/>
      </rPr>
      <t xml:space="preserve"> og a</t>
    </r>
  </si>
  <si>
    <r>
      <t>Regulering  af P</t>
    </r>
    <r>
      <rPr>
        <b/>
        <vertAlign val="subscript"/>
        <sz val="11"/>
        <color indexed="8"/>
        <rFont val="Calibri"/>
        <family val="2"/>
      </rPr>
      <t>cap</t>
    </r>
  </si>
  <si>
    <t>Punktlast</t>
  </si>
  <si>
    <t>kN</t>
  </si>
  <si>
    <t>(brudlinie)</t>
  </si>
  <si>
    <t>Randtillæg</t>
  </si>
  <si>
    <t>Resultat</t>
  </si>
  <si>
    <t>Dato</t>
  </si>
  <si>
    <t>nedbøjning (δ)</t>
  </si>
  <si>
    <t>E_Effektiv</t>
  </si>
  <si>
    <t>t_effektiv</t>
  </si>
  <si>
    <t>E2_effektiv</t>
  </si>
  <si>
    <t>Samlet last</t>
  </si>
  <si>
    <t>Ø</t>
  </si>
  <si>
    <t>Randfaktor</t>
  </si>
  <si>
    <t>Versionsdata</t>
  </si>
  <si>
    <t>Versionsnr:</t>
  </si>
  <si>
    <t>1.01</t>
  </si>
  <si>
    <t>Sagsnummer</t>
  </si>
  <si>
    <t>Initialer</t>
  </si>
  <si>
    <t>Skillevægge på betondæk og EPS</t>
  </si>
  <si>
    <t>Version 1.01 - 2012</t>
  </si>
  <si>
    <t>v</t>
  </si>
  <si>
    <t xml:space="preserve">Tilladelig </t>
  </si>
  <si>
    <t>PDC</t>
  </si>
  <si>
    <t>Sagsnavn</t>
  </si>
  <si>
    <t>Test</t>
  </si>
</sst>
</file>

<file path=xl/styles.xml><?xml version="1.0" encoding="utf-8"?>
<styleSheet xmlns="http://schemas.openxmlformats.org/spreadsheetml/2006/main">
  <numFmts count="2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numFmt numFmtId="179" formatCode="####"/>
  </numFmts>
  <fonts count="26">
    <font>
      <sz val="11"/>
      <color indexed="8"/>
      <name val="Calibri"/>
      <family val="2"/>
    </font>
    <font>
      <b/>
      <sz val="11"/>
      <color indexed="8"/>
      <name val="Calibri"/>
      <family val="2"/>
    </font>
    <font>
      <i/>
      <sz val="11"/>
      <color indexed="8"/>
      <name val="Calibri"/>
      <family val="2"/>
    </font>
    <font>
      <vertAlign val="subscript"/>
      <sz val="11"/>
      <color indexed="8"/>
      <name val="Calibri"/>
      <family val="2"/>
    </font>
    <font>
      <vertAlign val="superscript"/>
      <sz val="11"/>
      <color indexed="8"/>
      <name val="Calibri"/>
      <family val="2"/>
    </font>
    <font>
      <b/>
      <vertAlign val="subscript"/>
      <sz val="11"/>
      <color indexed="8"/>
      <name val="Calibri"/>
      <family val="2"/>
    </font>
    <font>
      <b/>
      <sz val="14"/>
      <color indexed="8"/>
      <name val="Calibri"/>
      <family val="2"/>
    </font>
    <font>
      <sz val="11"/>
      <color indexed="9"/>
      <name val="Calibri"/>
      <family val="2"/>
    </font>
    <font>
      <sz val="11"/>
      <name val="Calibri"/>
      <family val="2"/>
    </font>
    <font>
      <sz val="14"/>
      <color indexed="8"/>
      <name val="Calibri"/>
      <family val="2"/>
    </font>
    <font>
      <sz val="8"/>
      <name val="Calibri"/>
      <family val="2"/>
    </font>
    <font>
      <b/>
      <sz val="16"/>
      <color indexed="8"/>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13"/>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2" fillId="0" borderId="0" applyNumberFormat="0" applyFill="0" applyBorder="0" applyAlignment="0" applyProtection="0"/>
    <xf numFmtId="168" fontId="0" fillId="0" borderId="0" applyFont="0" applyFill="0" applyBorder="0" applyAlignment="0" applyProtection="0"/>
    <xf numFmtId="0" fontId="0" fillId="16" borderId="1" applyNumberFormat="0" applyFont="0" applyAlignment="0" applyProtection="0"/>
    <xf numFmtId="0" fontId="13" fillId="17"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7" borderId="2" applyNumberFormat="0" applyAlignment="0" applyProtection="0"/>
    <xf numFmtId="0" fontId="17" fillId="18" borderId="3" applyNumberFormat="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8" fillId="23" borderId="0" applyNumberFormat="0" applyBorder="0" applyAlignment="0" applyProtection="0"/>
    <xf numFmtId="0" fontId="19" fillId="17" borderId="4" applyNumberFormat="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3" borderId="0" applyNumberFormat="0" applyBorder="0" applyAlignment="0" applyProtection="0"/>
    <xf numFmtId="170"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6" fillId="0" borderId="0" xfId="0" applyFont="1" applyAlignment="1">
      <alignment/>
    </xf>
    <xf numFmtId="0" fontId="0" fillId="0" borderId="0" xfId="0" applyFont="1" applyAlignment="1">
      <alignment/>
    </xf>
    <xf numFmtId="1" fontId="0" fillId="0" borderId="0" xfId="0" applyNumberFormat="1" applyAlignment="1">
      <alignment/>
    </xf>
    <xf numFmtId="0" fontId="6" fillId="0" borderId="0" xfId="0" applyFont="1" applyAlignment="1">
      <alignment/>
    </xf>
    <xf numFmtId="178" fontId="0" fillId="0" borderId="0" xfId="0" applyNumberFormat="1" applyAlignment="1">
      <alignment/>
    </xf>
    <xf numFmtId="0" fontId="7" fillId="0" borderId="0" xfId="0" applyFont="1" applyAlignment="1">
      <alignment/>
    </xf>
    <xf numFmtId="0" fontId="0" fillId="0" borderId="0" xfId="0" applyFont="1" applyAlignment="1">
      <alignment/>
    </xf>
    <xf numFmtId="2" fontId="0" fillId="0" borderId="0" xfId="0" applyNumberFormat="1" applyAlignment="1">
      <alignment/>
    </xf>
    <xf numFmtId="0" fontId="9" fillId="0" borderId="0" xfId="0" applyFont="1" applyAlignment="1">
      <alignment/>
    </xf>
    <xf numFmtId="0" fontId="0" fillId="4" borderId="10" xfId="0" applyFill="1" applyBorder="1" applyAlignment="1">
      <alignment horizontal="right"/>
    </xf>
    <xf numFmtId="0" fontId="11" fillId="0" borderId="0" xfId="0" applyFont="1" applyAlignment="1">
      <alignment/>
    </xf>
    <xf numFmtId="0" fontId="1" fillId="0" borderId="0" xfId="0" applyFont="1" applyAlignment="1">
      <alignment horizontal="right"/>
    </xf>
    <xf numFmtId="0" fontId="1" fillId="22" borderId="0" xfId="0" applyFont="1" applyFill="1" applyAlignment="1">
      <alignment/>
    </xf>
    <xf numFmtId="0" fontId="0" fillId="11" borderId="10" xfId="0" applyFill="1" applyBorder="1" applyAlignment="1" applyProtection="1">
      <alignment/>
      <protection locked="0"/>
    </xf>
    <xf numFmtId="2" fontId="0" fillId="11" borderId="10" xfId="0" applyNumberFormat="1" applyFill="1" applyBorder="1" applyAlignment="1" applyProtection="1">
      <alignment/>
      <protection locked="0"/>
    </xf>
    <xf numFmtId="0" fontId="0" fillId="11" borderId="10" xfId="0" applyFill="1" applyBorder="1" applyAlignment="1" applyProtection="1">
      <alignment horizontal="right"/>
      <protection locked="0"/>
    </xf>
    <xf numFmtId="0" fontId="8" fillId="24" borderId="10" xfId="0" applyFont="1" applyFill="1" applyBorder="1" applyAlignment="1" applyProtection="1">
      <alignment/>
      <protection locked="0"/>
    </xf>
    <xf numFmtId="0" fontId="7" fillId="0" borderId="0" xfId="0" applyFont="1" applyAlignment="1" applyProtection="1">
      <alignment/>
      <protection locked="0"/>
    </xf>
    <xf numFmtId="0" fontId="0" fillId="11" borderId="0" xfId="0" applyFill="1" applyBorder="1" applyAlignment="1" applyProtection="1">
      <alignment horizontal="left"/>
      <protection locked="0"/>
    </xf>
    <xf numFmtId="0" fontId="0" fillId="11" borderId="0" xfId="0" applyFill="1" applyBorder="1" applyAlignment="1" applyProtection="1">
      <alignment horizontal="left"/>
      <protection locked="0"/>
    </xf>
    <xf numFmtId="0" fontId="1" fillId="0" borderId="0" xfId="0" applyFont="1" applyAlignment="1">
      <alignment horizontal="left"/>
    </xf>
    <xf numFmtId="14" fontId="0" fillId="11" borderId="0" xfId="0" applyNumberFormat="1" applyFill="1" applyBorder="1" applyAlignment="1" applyProtection="1">
      <alignment horizontal="left"/>
      <protection locked="0"/>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dxfs count="4">
    <dxf>
      <font>
        <color indexed="8"/>
      </font>
      <fill>
        <patternFill>
          <bgColor indexed="51"/>
        </patternFill>
      </fill>
      <border>
        <left style="thin"/>
        <right style="thin"/>
        <top style="thin"/>
        <bottom style="thin"/>
      </border>
    </dxf>
    <dxf>
      <font>
        <color indexed="8"/>
      </font>
    </dxf>
    <dxf>
      <fill>
        <patternFill>
          <bgColor indexed="50"/>
        </patternFill>
      </fill>
    </dxf>
    <dxf>
      <font>
        <color rgb="FF000000"/>
      </font>
      <fill>
        <patternFill>
          <bgColor rgb="FFFFCC00"/>
        </patternFill>
      </fill>
      <border>
        <left style="thin">
          <color rgb="FF000000"/>
        </left>
        <right style="thin">
          <color rgb="FF000000"/>
        </right>
        <top style="thin"/>
        <bottom style="thin">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11</xdr:row>
      <xdr:rowOff>142875</xdr:rowOff>
    </xdr:from>
    <xdr:to>
      <xdr:col>9</xdr:col>
      <xdr:colOff>2390775</xdr:colOff>
      <xdr:row>18</xdr:row>
      <xdr:rowOff>9525</xdr:rowOff>
    </xdr:to>
    <xdr:pic>
      <xdr:nvPicPr>
        <xdr:cNvPr id="1" name="Picture 11" descr="Emodul EPS"/>
        <xdr:cNvPicPr preferRelativeResize="1">
          <a:picLocks noChangeAspect="1"/>
        </xdr:cNvPicPr>
      </xdr:nvPicPr>
      <xdr:blipFill>
        <a:blip r:embed="rId1"/>
        <a:stretch>
          <a:fillRect/>
        </a:stretch>
      </xdr:blipFill>
      <xdr:spPr>
        <a:xfrm>
          <a:off x="5895975" y="2409825"/>
          <a:ext cx="2419350" cy="1419225"/>
        </a:xfrm>
        <a:prstGeom prst="rect">
          <a:avLst/>
        </a:prstGeom>
        <a:noFill/>
        <a:ln w="9525" cmpd="sng">
          <a:noFill/>
        </a:ln>
      </xdr:spPr>
    </xdr:pic>
    <xdr:clientData/>
  </xdr:twoCellAnchor>
  <xdr:twoCellAnchor editAs="oneCell">
    <xdr:from>
      <xdr:col>8</xdr:col>
      <xdr:colOff>409575</xdr:colOff>
      <xdr:row>18</xdr:row>
      <xdr:rowOff>219075</xdr:rowOff>
    </xdr:from>
    <xdr:to>
      <xdr:col>9</xdr:col>
      <xdr:colOff>2390775</xdr:colOff>
      <xdr:row>25</xdr:row>
      <xdr:rowOff>114300</xdr:rowOff>
    </xdr:to>
    <xdr:pic>
      <xdr:nvPicPr>
        <xdr:cNvPr id="2" name="Picture 12" descr="EPS Radonsug"/>
        <xdr:cNvPicPr preferRelativeResize="1">
          <a:picLocks noChangeAspect="1"/>
        </xdr:cNvPicPr>
      </xdr:nvPicPr>
      <xdr:blipFill>
        <a:blip r:embed="rId2"/>
        <a:stretch>
          <a:fillRect/>
        </a:stretch>
      </xdr:blipFill>
      <xdr:spPr>
        <a:xfrm>
          <a:off x="5895975" y="4038600"/>
          <a:ext cx="2419350" cy="1419225"/>
        </a:xfrm>
        <a:prstGeom prst="rect">
          <a:avLst/>
        </a:prstGeom>
        <a:noFill/>
        <a:ln w="9525" cmpd="sng">
          <a:noFill/>
        </a:ln>
      </xdr:spPr>
    </xdr:pic>
    <xdr:clientData/>
  </xdr:twoCellAnchor>
  <xdr:twoCellAnchor editAs="oneCell">
    <xdr:from>
      <xdr:col>9</xdr:col>
      <xdr:colOff>1066800</xdr:colOff>
      <xdr:row>1</xdr:row>
      <xdr:rowOff>180975</xdr:rowOff>
    </xdr:from>
    <xdr:to>
      <xdr:col>9</xdr:col>
      <xdr:colOff>2619375</xdr:colOff>
      <xdr:row>5</xdr:row>
      <xdr:rowOff>95250</xdr:rowOff>
    </xdr:to>
    <xdr:pic>
      <xdr:nvPicPr>
        <xdr:cNvPr id="3" name="Picture 40" descr="ti_logo"/>
        <xdr:cNvPicPr preferRelativeResize="1">
          <a:picLocks noChangeAspect="1"/>
        </xdr:cNvPicPr>
      </xdr:nvPicPr>
      <xdr:blipFill>
        <a:blip r:embed="rId3"/>
        <a:stretch>
          <a:fillRect/>
        </a:stretch>
      </xdr:blipFill>
      <xdr:spPr>
        <a:xfrm>
          <a:off x="6991350" y="447675"/>
          <a:ext cx="1552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showGridLines="0" tabSelected="1" zoomScalePageLayoutView="0" workbookViewId="0" topLeftCell="A3">
      <selection activeCell="C4" sqref="C4:F4"/>
    </sheetView>
  </sheetViews>
  <sheetFormatPr defaultColWidth="9.140625" defaultRowHeight="15"/>
  <cols>
    <col min="1" max="1" width="3.421875" style="0" customWidth="1"/>
    <col min="2" max="2" width="22.00390625" style="0" customWidth="1"/>
    <col min="3" max="3" width="10.00390625" style="0" customWidth="1"/>
    <col min="4" max="4" width="10.57421875" style="0" customWidth="1"/>
    <col min="6" max="6" width="14.00390625" style="0" customWidth="1"/>
    <col min="7" max="9" width="6.57421875" style="0" customWidth="1"/>
    <col min="10" max="10" width="39.421875" style="0" customWidth="1"/>
    <col min="11" max="11" width="12.00390625" style="0" hidden="1" customWidth="1"/>
    <col min="12" max="12" width="12.421875" style="0" hidden="1" customWidth="1"/>
    <col min="13" max="18" width="0" style="0" hidden="1" customWidth="1"/>
  </cols>
  <sheetData>
    <row r="1" spans="1:10" ht="21">
      <c r="A1" s="12" t="s">
        <v>76</v>
      </c>
      <c r="J1" s="13" t="s">
        <v>77</v>
      </c>
    </row>
    <row r="3" spans="1:18" ht="18.75">
      <c r="A3" s="2" t="s">
        <v>26</v>
      </c>
      <c r="R3">
        <v>1</v>
      </c>
    </row>
    <row r="4" spans="2:18" ht="15">
      <c r="B4" t="s">
        <v>27</v>
      </c>
      <c r="C4" s="21" t="s">
        <v>42</v>
      </c>
      <c r="D4" s="21"/>
      <c r="E4" s="21"/>
      <c r="F4" s="21"/>
      <c r="R4">
        <v>2</v>
      </c>
    </row>
    <row r="5" spans="2:18" ht="15">
      <c r="B5" t="s">
        <v>75</v>
      </c>
      <c r="C5" s="21" t="s">
        <v>80</v>
      </c>
      <c r="D5" s="21"/>
      <c r="E5" s="21"/>
      <c r="F5" s="21"/>
      <c r="R5" t="s">
        <v>45</v>
      </c>
    </row>
    <row r="6" spans="2:6" ht="15">
      <c r="B6" t="s">
        <v>81</v>
      </c>
      <c r="C6" s="20" t="s">
        <v>82</v>
      </c>
      <c r="D6" s="20"/>
      <c r="E6" s="20"/>
      <c r="F6" s="20"/>
    </row>
    <row r="7" spans="2:18" ht="15">
      <c r="B7" t="s">
        <v>74</v>
      </c>
      <c r="C7" s="21">
        <v>452637</v>
      </c>
      <c r="D7" s="21"/>
      <c r="E7" s="21"/>
      <c r="F7" s="21"/>
      <c r="R7" t="s">
        <v>46</v>
      </c>
    </row>
    <row r="8" spans="2:6" ht="15">
      <c r="B8" t="s">
        <v>63</v>
      </c>
      <c r="C8" s="23">
        <v>40889</v>
      </c>
      <c r="D8" s="23"/>
      <c r="E8" s="23"/>
      <c r="F8" s="23"/>
    </row>
    <row r="10" spans="1:18" ht="18.75">
      <c r="A10" s="2" t="s">
        <v>0</v>
      </c>
      <c r="C10" s="2"/>
      <c r="K10" s="5" t="s">
        <v>28</v>
      </c>
      <c r="R10" t="s">
        <v>51</v>
      </c>
    </row>
    <row r="11" spans="1:18" ht="15">
      <c r="A11" s="1" t="s">
        <v>1</v>
      </c>
      <c r="C11" s="1"/>
      <c r="F11" s="1" t="s">
        <v>34</v>
      </c>
      <c r="G11" s="1"/>
      <c r="H11" s="1"/>
      <c r="I11" s="1"/>
      <c r="K11" s="22" t="s">
        <v>29</v>
      </c>
      <c r="L11" s="22"/>
      <c r="R11" t="s">
        <v>52</v>
      </c>
    </row>
    <row r="12" spans="2:13" ht="18">
      <c r="B12" t="s">
        <v>2</v>
      </c>
      <c r="C12" t="s">
        <v>16</v>
      </c>
      <c r="D12" s="15">
        <v>120</v>
      </c>
      <c r="E12" t="s">
        <v>4</v>
      </c>
      <c r="K12" t="s">
        <v>30</v>
      </c>
      <c r="L12" s="4">
        <f>L16*L18/1000</f>
        <v>7532.6557519774415</v>
      </c>
      <c r="M12" t="s">
        <v>53</v>
      </c>
    </row>
    <row r="13" spans="2:13" ht="18">
      <c r="B13" t="s">
        <v>3</v>
      </c>
      <c r="C13" t="s">
        <v>9</v>
      </c>
      <c r="D13" s="15">
        <v>20</v>
      </c>
      <c r="E13" t="s">
        <v>5</v>
      </c>
      <c r="F13" s="18">
        <v>1.6</v>
      </c>
      <c r="K13" t="s">
        <v>31</v>
      </c>
      <c r="L13" s="4">
        <f>L16*L19/1000</f>
        <v>5228.821139344927</v>
      </c>
      <c r="M13" t="s">
        <v>53</v>
      </c>
    </row>
    <row r="14" spans="1:11" ht="15">
      <c r="A14" s="1" t="s">
        <v>6</v>
      </c>
      <c r="C14" s="1"/>
      <c r="K14" s="1" t="s">
        <v>6</v>
      </c>
    </row>
    <row r="15" spans="2:13" ht="17.25">
      <c r="B15" t="s">
        <v>7</v>
      </c>
      <c r="C15" t="s">
        <v>69</v>
      </c>
      <c r="D15" s="15">
        <v>8</v>
      </c>
      <c r="E15" t="s">
        <v>4</v>
      </c>
      <c r="K15" t="s">
        <v>32</v>
      </c>
      <c r="L15" s="4">
        <f>(PI()/4)*POWER(D15,2)*1000/D18</f>
        <v>251.32741228718342</v>
      </c>
      <c r="M15" t="s">
        <v>33</v>
      </c>
    </row>
    <row r="16" spans="2:13" ht="18">
      <c r="B16" t="s">
        <v>40</v>
      </c>
      <c r="C16" t="s">
        <v>10</v>
      </c>
      <c r="D16" s="15">
        <v>50</v>
      </c>
      <c r="E16" t="s">
        <v>4</v>
      </c>
      <c r="K16" t="s">
        <v>35</v>
      </c>
      <c r="L16" s="4">
        <f>L15*(D17/F17)</f>
        <v>115191.73063162575</v>
      </c>
      <c r="M16" t="s">
        <v>36</v>
      </c>
    </row>
    <row r="17" spans="2:13" ht="18">
      <c r="B17" t="s">
        <v>11</v>
      </c>
      <c r="C17" t="s">
        <v>12</v>
      </c>
      <c r="D17" s="15">
        <v>550</v>
      </c>
      <c r="E17" t="s">
        <v>5</v>
      </c>
      <c r="F17" s="18">
        <v>1.2</v>
      </c>
      <c r="K17" t="s">
        <v>41</v>
      </c>
      <c r="L17" s="6">
        <f>L16/(1000*D13/F13)</f>
        <v>9.21533845053006</v>
      </c>
      <c r="M17" t="s">
        <v>4</v>
      </c>
    </row>
    <row r="18" spans="2:13" ht="18">
      <c r="B18" t="s">
        <v>39</v>
      </c>
      <c r="C18" t="s">
        <v>78</v>
      </c>
      <c r="D18" s="15">
        <v>200</v>
      </c>
      <c r="E18" t="s">
        <v>4</v>
      </c>
      <c r="K18" t="s">
        <v>37</v>
      </c>
      <c r="L18" s="6">
        <f>D12-D16-0.5*L17</f>
        <v>65.39233077473497</v>
      </c>
      <c r="M18" t="s">
        <v>4</v>
      </c>
    </row>
    <row r="19" spans="1:13" ht="18">
      <c r="A19" s="1" t="s">
        <v>14</v>
      </c>
      <c r="F19" s="1">
        <f>IF($D$22=2,"Lag 2","")</f>
      </c>
      <c r="K19" t="s">
        <v>38</v>
      </c>
      <c r="L19" s="6">
        <f>D16-0.5*L17</f>
        <v>45.39233077473497</v>
      </c>
      <c r="M19" t="s">
        <v>4</v>
      </c>
    </row>
    <row r="20" spans="2:11" ht="18">
      <c r="B20" t="s">
        <v>2</v>
      </c>
      <c r="C20" t="s">
        <v>8</v>
      </c>
      <c r="D20" s="15">
        <v>400</v>
      </c>
      <c r="E20" t="s">
        <v>4</v>
      </c>
      <c r="F20" s="7">
        <f>IF($D$22=2,"Tykkelse","")</f>
      </c>
      <c r="G20" s="7">
        <f>IF($D$22=2,"t2","")</f>
      </c>
      <c r="H20" s="19">
        <v>50</v>
      </c>
      <c r="I20" s="7">
        <f>IF($D$22=2,"mm","")</f>
      </c>
      <c r="K20" s="1" t="s">
        <v>56</v>
      </c>
    </row>
    <row r="21" spans="2:13" ht="18">
      <c r="B21" t="s">
        <v>15</v>
      </c>
      <c r="C21" t="s">
        <v>17</v>
      </c>
      <c r="D21" s="16">
        <v>2.25</v>
      </c>
      <c r="E21" t="s">
        <v>5</v>
      </c>
      <c r="F21" s="7">
        <f>IF($D$22=2,"E-modul","")</f>
      </c>
      <c r="G21" s="7">
        <f>IF($D$22=2,"E2","")</f>
      </c>
      <c r="H21" s="19">
        <v>2.25</v>
      </c>
      <c r="I21" s="7">
        <f>IF($D$22=2,"MPa","")</f>
      </c>
      <c r="K21" t="s">
        <v>55</v>
      </c>
      <c r="L21" s="9">
        <f>POWER((6*L12+3*L13)*L26*F26/L27,0.5)</f>
        <v>29.260190035083685</v>
      </c>
      <c r="M21" t="s">
        <v>21</v>
      </c>
    </row>
    <row r="22" spans="2:13" ht="15">
      <c r="B22" t="s">
        <v>23</v>
      </c>
      <c r="C22" t="s">
        <v>22</v>
      </c>
      <c r="D22" s="15">
        <v>1</v>
      </c>
      <c r="F22" s="7">
        <f>IF($D$22=2,"Hulreduktion","")</f>
      </c>
      <c r="G22" s="7">
        <f>IF($D$22=2,"h2","")</f>
      </c>
      <c r="H22" s="19">
        <v>30</v>
      </c>
      <c r="I22" s="7">
        <f>IF($D$22=2,"%","")</f>
      </c>
      <c r="K22" t="s">
        <v>13</v>
      </c>
      <c r="L22" s="4">
        <f>MIN(3500,L21*L27/(L26*F26))</f>
        <v>2080.724624717062</v>
      </c>
      <c r="M22" t="s">
        <v>4</v>
      </c>
    </row>
    <row r="23" spans="1:17" ht="15">
      <c r="A23" s="1" t="s">
        <v>18</v>
      </c>
      <c r="F23" s="3"/>
      <c r="K23" t="s">
        <v>70</v>
      </c>
      <c r="L23">
        <f>N23+O23+P23+Q23</f>
        <v>0</v>
      </c>
      <c r="N23">
        <f>IF(AND($D$26="fri",$D$27="nej"),0.67,0)</f>
        <v>0</v>
      </c>
      <c r="O23">
        <f>IF(AND($D$26="bunden",$D$27="nej"),0.33,0)</f>
        <v>0</v>
      </c>
      <c r="P23">
        <f>IF(AND($D$26="fri",$D$27="ja"),0.33,0)</f>
        <v>0</v>
      </c>
      <c r="Q23">
        <f>IF(AND($D$26="bunden",$D$27="ja"),0,0)</f>
        <v>0</v>
      </c>
    </row>
    <row r="24" spans="2:13" ht="18">
      <c r="B24" t="s">
        <v>19</v>
      </c>
      <c r="C24" t="s">
        <v>20</v>
      </c>
      <c r="D24" s="15">
        <v>10</v>
      </c>
      <c r="E24" t="s">
        <v>21</v>
      </c>
      <c r="F24" t="s">
        <v>79</v>
      </c>
      <c r="K24" t="s">
        <v>61</v>
      </c>
      <c r="L24" s="4">
        <f>L22*L23</f>
        <v>0</v>
      </c>
      <c r="M24" t="s">
        <v>4</v>
      </c>
    </row>
    <row r="25" spans="2:13" ht="18">
      <c r="B25" t="s">
        <v>48</v>
      </c>
      <c r="C25" t="s">
        <v>47</v>
      </c>
      <c r="D25" s="15">
        <v>2760</v>
      </c>
      <c r="E25" t="s">
        <v>4</v>
      </c>
      <c r="F25" t="s">
        <v>64</v>
      </c>
      <c r="G25" s="8"/>
      <c r="H25" s="8"/>
      <c r="I25" s="8"/>
      <c r="K25" t="s">
        <v>67</v>
      </c>
      <c r="L25">
        <f>POWER(1-H22/100,2)*H21</f>
        <v>1.1024999999999998</v>
      </c>
      <c r="M25" t="s">
        <v>5</v>
      </c>
    </row>
    <row r="26" spans="2:13" ht="15">
      <c r="B26" t="s">
        <v>43</v>
      </c>
      <c r="C26" t="s">
        <v>44</v>
      </c>
      <c r="D26" s="17" t="s">
        <v>46</v>
      </c>
      <c r="F26" s="18">
        <v>2.5</v>
      </c>
      <c r="G26" t="s">
        <v>4</v>
      </c>
      <c r="K26" t="s">
        <v>65</v>
      </c>
      <c r="L26" s="9">
        <f>IF(D22=1,D21,(D20+H20)/((D20/D21)+(H20/L25)))</f>
        <v>2.25</v>
      </c>
      <c r="M26" t="s">
        <v>5</v>
      </c>
    </row>
    <row r="27" spans="2:13" ht="15">
      <c r="B27" t="s">
        <v>49</v>
      </c>
      <c r="C27" t="s">
        <v>50</v>
      </c>
      <c r="D27" s="17" t="s">
        <v>51</v>
      </c>
      <c r="K27" t="s">
        <v>66</v>
      </c>
      <c r="L27">
        <f>IF(D22=1,D20,D20+H20)</f>
        <v>400</v>
      </c>
      <c r="M27" t="s">
        <v>4</v>
      </c>
    </row>
    <row r="28" ht="18">
      <c r="K28" s="1" t="s">
        <v>57</v>
      </c>
    </row>
    <row r="29" spans="1:13" ht="18.75">
      <c r="A29" s="2" t="s">
        <v>24</v>
      </c>
      <c r="K29" t="s">
        <v>43</v>
      </c>
      <c r="L29" s="9">
        <f>IF(D26="fri",L21,L21/1.5)</f>
        <v>19.506793356722458</v>
      </c>
      <c r="M29" t="s">
        <v>21</v>
      </c>
    </row>
    <row r="30" spans="1:12" ht="18.75">
      <c r="A30" s="2"/>
      <c r="B30" t="s">
        <v>13</v>
      </c>
      <c r="C30" s="4">
        <f>L22</f>
        <v>2080.724624717062</v>
      </c>
      <c r="D30" t="s">
        <v>4</v>
      </c>
      <c r="L30" s="9"/>
    </row>
    <row r="31" spans="2:13" ht="15">
      <c r="B31" t="s">
        <v>25</v>
      </c>
      <c r="C31" s="6">
        <f>L31</f>
        <v>19.506793356722458</v>
      </c>
      <c r="D31" t="s">
        <v>21</v>
      </c>
      <c r="K31" t="s">
        <v>54</v>
      </c>
      <c r="L31" s="6">
        <f>L29*(D25+L24)/D25</f>
        <v>19.506793356722458</v>
      </c>
      <c r="M31" t="s">
        <v>21</v>
      </c>
    </row>
    <row r="32" spans="2:13" ht="15">
      <c r="B32" t="s">
        <v>62</v>
      </c>
      <c r="C32" s="14" t="str">
        <f>IF(L31&gt;D24,"Bæreevnen er tilstrækkelig","Bæreevnen er IKKE tilstrækkelig")</f>
        <v>Bæreevnen er tilstrækkelig</v>
      </c>
      <c r="D32" s="14"/>
      <c r="E32" s="14"/>
      <c r="J32" s="13" t="str">
        <f ca="1">"Udskrevet "&amp;TEXT(TODAY(),"dd-mm-åååå")</f>
        <v>Udskrevet 01-12-2011</v>
      </c>
      <c r="K32" t="s">
        <v>68</v>
      </c>
      <c r="L32" s="4">
        <f>L31*D25/1000</f>
        <v>53.83874966455399</v>
      </c>
      <c r="M32" t="s">
        <v>59</v>
      </c>
    </row>
    <row r="33" spans="11:13" ht="15">
      <c r="K33" t="s">
        <v>58</v>
      </c>
      <c r="L33" s="4">
        <f>2*PI()*(L12)/1000</f>
        <v>47.32907194486646</v>
      </c>
      <c r="M33" t="s">
        <v>59</v>
      </c>
    </row>
    <row r="34" ht="15">
      <c r="K34" t="s">
        <v>60</v>
      </c>
    </row>
  </sheetData>
  <sheetProtection password="CC20" sheet="1"/>
  <mergeCells count="5">
    <mergeCell ref="C4:F4"/>
    <mergeCell ref="K11:L11"/>
    <mergeCell ref="C5:F5"/>
    <mergeCell ref="C7:F7"/>
    <mergeCell ref="C8:F8"/>
  </mergeCells>
  <conditionalFormatting sqref="C32:E32">
    <cfRule type="expression" priority="5" dxfId="2" stopIfTrue="1">
      <formula>IF($C$32="Bæreevnen er tilstrækkelig",TRUE,FALSE)</formula>
    </cfRule>
  </conditionalFormatting>
  <conditionalFormatting sqref="F20:G22 I20:I22">
    <cfRule type="expression" priority="6" dxfId="1" stopIfTrue="1">
      <formula>IF(AntalLag=2,TRUE,FALSE)</formula>
    </cfRule>
  </conditionalFormatting>
  <conditionalFormatting sqref="H20:H22">
    <cfRule type="expression" priority="9" dxfId="3" stopIfTrue="1">
      <formula>IF(AntalLag=2,TRUE,FALSE)</formula>
    </cfRule>
  </conditionalFormatting>
  <dataValidations count="17">
    <dataValidation type="whole" allowBlank="1" showInputMessage="1" showErrorMessage="1" promptTitle="Placering fra bund" prompt="Her angives placering af armeringen fra bund.&#10;Fx 50 mm for 100 mm betondæk, når armering er placeret i midten.&#10;&#10;Bemærk: Teknologisk institut anbefaler, at armeringen placeres i midten." error="Den indtastede værdi ligger udenfor det acceptable interval" sqref="D16">
      <formula1>2</formula1>
      <formula2>D12</formula2>
    </dataValidation>
    <dataValidation type="decimal" allowBlank="1" showInputMessage="1" showErrorMessage="1" promptTitle="Afstand mellem armeringsstænger" prompt="Denne afstand regnes ens i begge retninger." error="Den indtastede værdi ligger udenfor det acceptable interval" sqref="D18">
      <formula1>2*D15</formula1>
      <formula2>500</formula2>
    </dataValidation>
    <dataValidation type="decimal" allowBlank="1" showErrorMessage="1" error="Den indtastede værdi ligger udenfor det accepterede interval" sqref="H20">
      <formula1>10</formula1>
      <formula2>2000</formula2>
    </dataValidation>
    <dataValidation type="decimal" allowBlank="1" showErrorMessage="1" promptTitle="E-modul" prompt="Tal angives i MPa&#10;Min: 0,10 MPa&#10;Max: 1000 MPa" error="Den indtastede værdi ligger udenfor det accepterede interval" sqref="H21">
      <formula1>0.1</formula1>
      <formula2>1000</formula2>
    </dataValidation>
    <dataValidation type="decimal" allowBlank="1" showInputMessage="1" showErrorMessage="1" promptTitle="Hulreduktion" prompt="Hularealet regnes ens i begge retninger. Angiv hulreduktion for længdesnittet.&#10;&#10;Værdier ses i nederste grå tekstboks.&#10;" error="Der skal indtastes en værdi mellem 0 og 100 (%)&#10;" sqref="H22">
      <formula1>0</formula1>
      <formula2>100</formula2>
    </dataValidation>
    <dataValidation type="list" allowBlank="1" showInputMessage="1" showErrorMessage="1" promptTitle="Flere lag" prompt="Der er mulighed for at anvende 2 lag EPS. Lag 2 vil typisk have langs- og tværgående huller til radonudluftning." sqref="D22">
      <formula1>$R$3:$R$4</formula1>
    </dataValidation>
    <dataValidation type="whole" showInputMessage="1" showErrorMessage="1" error="Den indtastede værdi ligger udenfor det acceptable interval" sqref="D12">
      <formula1>50</formula1>
      <formula2>500</formula2>
    </dataValidation>
    <dataValidation type="decimal" allowBlank="1" showInputMessage="1" showErrorMessage="1" error="Den indtastede værdi ligger udenfor det acceptable interval" sqref="D13">
      <formula1>5</formula1>
      <formula2>100</formula2>
    </dataValidation>
    <dataValidation type="decimal" allowBlank="1" showInputMessage="1" showErrorMessage="1" error="Den indtastede værdi ligger udenfor det acceptable interval" sqref="D15">
      <formula1>2</formula1>
      <formula2>50</formula2>
    </dataValidation>
    <dataValidation type="decimal" allowBlank="1" showInputMessage="1" showErrorMessage="1" error="Den indtastede værdi ligger udenfor det acceptable interval" sqref="D17">
      <formula1>10</formula1>
      <formula2>2000</formula2>
    </dataValidation>
    <dataValidation type="whole" allowBlank="1" showInputMessage="1" showErrorMessage="1" sqref="D20">
      <formula1>50</formula1>
      <formula2>10000</formula2>
    </dataValidation>
    <dataValidation type="decimal" allowBlank="1" showInputMessage="1" showErrorMessage="1" promptTitle="Værdier" prompt="Relevante værdier er angivet i øverste grå tekstboks.&#10;" error="Den indtastede værdi ligger udenfor det acceptable interval" sqref="D21">
      <formula1>0.1</formula1>
      <formula2>10000</formula2>
    </dataValidation>
    <dataValidation type="decimal" allowBlank="1" showInputMessage="1" showErrorMessage="1" promptTitle="Lodret last" prompt="Her angives den samlede lodrette, regningsmæssige last.&#10;&#10;" error="Den indtastede værdi ligger udenfor det acceptable interval" sqref="D24">
      <formula1>0.1</formula1>
      <formula2>1000</formula2>
    </dataValidation>
    <dataValidation type="list" allowBlank="1" showInputMessage="1" showErrorMessage="1" promptTitle="Fri eller bunden væg" prompt="Fri: Står kun på betondæk/EPS&#10;&#10;Bunden: Den ene kant står fikseret på sokkel. Resten af væggen står på betondæk/EPS." sqref="D26">
      <formula1>$R$5:$R$7</formula1>
    </dataValidation>
    <dataValidation type="decimal" allowBlank="1" showInputMessage="1" showErrorMessage="1" promptTitle="Udstrækn. af lodr. last i bunden" prompt="Såfremt væggen er påvirket af en vandret last i top, vil den lodrette reaktion i bund være excentrisk og kun virke under en del af den vægfeltet. Denne del er &quot;Udstrækningen af den lodrette last&quot;.&#10;" error="Den indtastede værdi ligger udenfor det acceptable interval" sqref="D25">
      <formula1>100</formula1>
      <formula2>30000</formula2>
    </dataValidation>
    <dataValidation type="list" allowBlank="1" showInputMessage="1" showErrorMessage="1" promptTitle="Væg tæt på kant" prompt="Her angives hvorvidt belastningsfladen på væggen er tæt på dækkant (ved tæt forstås cirka værdien &quot;a&quot;). " sqref="D27">
      <formula1>$R$10:$R$11</formula1>
    </dataValidation>
    <dataValidation allowBlank="1" showInputMessage="1" showErrorMessage="1" prompt="For at EPS'en kan optage belastningerne fra væggen opstår der en vis lodret flytning af dækket. Denne værdi er default sat til 2,5 mm, men kan for armerede vægkonstruktioner sættes højere." sqref="F26"/>
  </dataValidations>
  <printOptions/>
  <pageMargins left="0.7" right="0.7" top="0.75" bottom="0.75" header="0.3" footer="0.3"/>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3" sqref="A3"/>
    </sheetView>
  </sheetViews>
  <sheetFormatPr defaultColWidth="9.140625" defaultRowHeight="15"/>
  <cols>
    <col min="1" max="1" width="12.28125" style="0" customWidth="1"/>
  </cols>
  <sheetData>
    <row r="1" ht="18.75">
      <c r="A1" s="10" t="s">
        <v>71</v>
      </c>
    </row>
    <row r="3" spans="1:2" ht="15">
      <c r="A3" t="s">
        <v>72</v>
      </c>
      <c r="B3" s="11" t="s">
        <v>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2011-11-02T12:33:32Z</cp:lastPrinted>
  <dcterms:created xsi:type="dcterms:W3CDTF">2006-09-16T00:00:00Z</dcterms:created>
  <dcterms:modified xsi:type="dcterms:W3CDTF">2011-12-01T07:57:10Z</dcterms:modified>
  <cp:category/>
  <cp:version/>
  <cp:contentType/>
  <cp:contentStatus/>
</cp:coreProperties>
</file>